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Kooperation\Umsetzung Aue\Gas\"/>
    </mc:Choice>
  </mc:AlternateContent>
  <bookViews>
    <workbookView xWindow="0" yWindow="0" windowWidth="25200" windowHeight="9705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7" i="7"/>
  <c r="S17" i="7"/>
  <c r="T17" i="7"/>
  <c r="U17" i="7"/>
  <c r="V17" i="7"/>
  <c r="W17" i="7"/>
  <c r="X11" i="7" l="1"/>
  <c r="X15" i="7"/>
  <c r="X17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K17" i="7"/>
  <c r="O17" i="7"/>
  <c r="N11" i="7"/>
  <c r="L11" i="7"/>
  <c r="H11" i="7"/>
  <c r="L14" i="7"/>
  <c r="K15" i="7"/>
  <c r="M17" i="7"/>
  <c r="P11" i="7"/>
  <c r="I14" i="7"/>
  <c r="H15" i="7"/>
  <c r="P15" i="7"/>
  <c r="N17" i="7"/>
  <c r="M11" i="7"/>
  <c r="K14" i="7"/>
  <c r="O14" i="7"/>
  <c r="J15" i="7"/>
  <c r="N15" i="7"/>
  <c r="H17" i="7"/>
  <c r="L17" i="7"/>
  <c r="P17" i="7"/>
  <c r="O11" i="7"/>
  <c r="J11" i="7"/>
  <c r="H14" i="7"/>
  <c r="P14" i="7"/>
  <c r="O15" i="7"/>
  <c r="I17" i="7"/>
  <c r="K11" i="7"/>
  <c r="M14" i="7"/>
  <c r="L15" i="7"/>
  <c r="J17" i="7"/>
  <c r="I11" i="7"/>
  <c r="F17" i="7"/>
  <c r="F15" i="7"/>
  <c r="F14" i="7"/>
  <c r="F11" i="7"/>
  <c r="M8" i="4"/>
  <c r="M7" i="4"/>
  <c r="C5" i="1"/>
  <c r="D6" i="15"/>
  <c r="D6" i="7"/>
  <c r="Q15" i="7" l="1"/>
  <c r="Q11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<sst xmlns="http://schemas.openxmlformats.org/spreadsheetml/2006/main" count="1401" uniqueCount="682">
  <si>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</si>
  <si>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</si>
  <si>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</si>
  <si>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</si>
  <si>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</si>
  <si>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</si>
  <si>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</si>
  <si>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</si>
  <si>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</si>
  <si>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</si>
  <si>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</si>
  <si>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</si>
  <si>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</si>
  <si>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</si>
  <si>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</si>
  <si>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</si>
  <si>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</si>
  <si>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</si>
  <si>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</si>
  <si>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</si>
  <si>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</si>
  <si>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</si>
  <si>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</si>
  <si>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</si>
  <si>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</si>
  <si>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</si>
  <si>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</si>
  <si>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</si>
  <si>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</si>
  <si>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</si>
  <si>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</si>
  <si>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</si>
  <si>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</si>
  <si>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</si>
  <si>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</si>
  <si>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</si>
  <si>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</si>
  <si>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</si>
  <si>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</si>
  <si>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</si>
  <si>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</si>
  <si>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</si>
  <si>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</si>
  <si>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</si>
  <si>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</si>
  <si>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</si>
  <si>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</si>
  <si>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</si>
  <si>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</si>
  <si>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</si>
  <si>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</si>
  <si>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</si>
  <si>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</si>
  <si>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</si>
  <si>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</si>
  <si>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</si>
  <si>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</si>
  <si>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</si>
  <si>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</si>
  <si>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</si>
  <si>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</si>
  <si>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</si>
  <si>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</si>
  <si>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</si>
  <si>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</si>
  <si>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</si>
  <si>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</si>
  <si>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</si>
  <si>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</si>
  <si>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</si>
  <si>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</si>
  <si>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</si>
  <si>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</si>
  <si>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</si>
  <si>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</si>
  <si>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</si>
  <si>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</si>
  <si>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</si>
  <si>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</si>
  <si>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</si>
  <si>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</si>
  <si>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</si>
  <si>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</si>
  <si>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</si>
  <si>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</si>
  <si>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</si>
  <si>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</si>
  <si>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</si>
  <si>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</si>
  <si>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</si>
  <si>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</si>
  <si>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</si>
  <si>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</si>
  <si>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</si>
  <si>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</si>
  <si>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</si>
  <si>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</si>
  <si>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</si>
  <si>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</si>
  <si>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</si>
  <si>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</si>
  <si>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</si>
  <si>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</si>
  <si>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</si>
  <si>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</si>
  <si>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</si>
  <si>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</si>
  <si>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</si>
  <si>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</si>
  <si>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</si>
  <si>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</si>
  <si>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</si>
  <si>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</si>
  <si>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</si>
  <si>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</si>
  <si>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</si>
  <si>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</si>
  <si>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</si>
  <si>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</si>
  <si>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</si>
  <si>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</si>
  <si>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</si>
  <si>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</si>
  <si>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</si>
  <si>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</si>
  <si>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</si>
  <si>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</si>
  <si>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</si>
  <si>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</si>
  <si>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</si>
  <si>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</si>
  <si>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</si>
  <si>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</si>
  <si>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</si>
  <si>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</si>
  <si>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</si>
  <si>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</si>
  <si>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</si>
  <si>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</si>
  <si>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</si>
  <si>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</si>
  <si>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</si>
  <si>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</si>
  <si>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</si>
  <si>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</si>
  <si>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</si>
  <si>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</si>
  <si>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</si>
  <si>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</si>
  <si>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</si>
  <si>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</si>
  <si>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</si>
  <si>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</si>
  <si>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</si>
  <si>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</si>
  <si>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</si>
  <si>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</si>
  <si>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</si>
  <si>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</si>
  <si>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</si>
  <si>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</si>
  <si>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</si>
  <si>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</si>
  <si>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</si>
  <si>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</si>
  <si>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</si>
  <si>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</si>
  <si>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</si>
  <si>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</si>
  <si>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</si>
  <si>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</si>
  <si>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</si>
  <si>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</si>
  <si>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</si>
  <si>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</si>
  <si>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</si>
  <si>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</si>
  <si>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</si>
  <si>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</si>
  <si>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</si>
  <si>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</si>
  <si>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</si>
  <si>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</si>
  <si>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</si>
  <si>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</si>
  <si>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</si>
  <si>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</si>
  <si>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</si>
  <si>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</si>
  <si>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</si>
  <si>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</si>
  <si>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</si>
  <si>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</si>
  <si>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</si>
  <si>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</si>
  <si>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</si>
  <si>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</si>
  <si>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</si>
  <si>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</si>
  <si>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</si>
  <si>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</si>
  <si>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</si>
  <si>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</si>
  <si>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</si>
  <si>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</si>
  <si>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</si>
  <si>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</si>
  <si>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</si>
  <si>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</si>
  <si>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</si>
  <si>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</si>
  <si>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</si>
  <si>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</si>
  <si>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</si>
  <si>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</si>
  <si>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</si>
  <si>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</si>
  <si>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</si>
  <si>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</si>
  <si>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</si>
  <si>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</si>
  <si>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</si>
  <si>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</si>
  <si>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</si>
  <si>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</si>
  <si>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</si>
  <si>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</si>
  <si>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</si>
  <si>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</si>
  <si>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</si>
  <si>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</si>
  <si>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</si>
  <si>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</si>
  <si>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</si>
  <si>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</si>
  <si>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</si>
  <si>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</si>
  <si>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</si>
  <si>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</si>
  <si>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</si>
  <si>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</si>
  <si>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</si>
  <si>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</si>
  <si>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</si>
  <si>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</si>
  <si>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</si>
  <si>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</si>
  <si>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</si>
  <si>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</si>
  <si>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</si>
  <si>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</si>
  <si>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</si>
  <si>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</si>
  <si>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</si>
  <si>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</si>
  <si>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</si>
  <si>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</si>
  <si>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</si>
  <si>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</si>
  <si>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</si>
  <si>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</si>
  <si>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</si>
  <si>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</si>
  <si>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</si>
  <si>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</si>
  <si>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</si>
  <si>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</si>
  <si>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</si>
  <si>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</si>
  <si>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</si>
  <si>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</si>
  <si>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</si>
  <si>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</si>
  <si>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</si>
  <si>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</si>
  <si>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</si>
  <si>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</si>
  <si>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</si>
  <si>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</si>
  <si>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</si>
  <si>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</si>
  <si>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</si>
  <si>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</si>
  <si>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</si>
  <si>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</si>
  <si>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</si>
  <si>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</si>
  <si>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</si>
  <si>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</si>
  <si>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</si>
  <si>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</si>
  <si>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</si>
  <si>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</si>
  <si>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</si>
  <si>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</si>
  <si>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</si>
  <si>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</si>
  <si>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</si>
  <si>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</si>
  <si>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</si>
  <si>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</si>
  <si>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</si>
  <si>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</si>
  <si>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</si>
  <si>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</si>
  <si>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</si>
  <si>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</si>
  <si>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</si>
  <si>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</si>
  <si>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</si>
  <si>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</si>
  <si>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</si>
  <si>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</si>
  <si>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</si>
  <si>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</si>
  <si>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</si>
  <si>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</si>
  <si>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</si>
  <si>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</si>
  <si>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</si>
  <si>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</si>
  <si>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</si>
  <si>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</si>
  <si>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</si>
  <si>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</si>
  <si>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</si>
  <si>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</si>
  <si>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</si>
  <si>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</si>
  <si>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</si>
  <si>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</si>
  <si>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</si>
  <si>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</si>
  <si>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</si>
  <si>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</si>
  <si>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</si>
  <si>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</si>
  <si>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</si>
  <si>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</si>
  <si>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</si>
  <si>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</si>
  <si>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</si>
  <si>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</si>
  <si>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</si>
  <si>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</si>
  <si>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</si>
  <si>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</si>
  <si>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</si>
  <si>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</si>
  <si>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</si>
  <si>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</si>
  <si>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</si>
  <si>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</si>
  <si>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</si>
  <si>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</si>
  <si>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</si>
  <si>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</si>
  <si>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</si>
  <si>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</si>
  <si>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</si>
  <si>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</si>
  <si>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</si>
  <si>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</si>
  <si>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</si>
  <si>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</si>
  <si>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</si>
  <si>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</si>
  <si>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</si>
  <si>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</si>
  <si>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</si>
  <si>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</si>
  <si>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</si>
  <si>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</si>
  <si>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</si>
  <si>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</si>
  <si>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</si>
  <si>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</si>
  <si>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</si>
  <si>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</si>
  <si>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</si>
  <si>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</si>
  <si>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</si>
  <si>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</si>
  <si>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</si>
  <si>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</si>
  <si>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</si>
  <si>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</si>
  <si>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</si>
  <si>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</si>
  <si>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</si>
  <si>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</si>
  <si>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</si>
  <si>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</si>
  <si>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</si>
  <si>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</si>
  <si>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</si>
  <si>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</si>
  <si>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</si>
  <si>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</si>
  <si>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</si>
  <si>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</si>
  <si>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</si>
  <si>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</si>
  <si>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</si>
  <si>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</si>
  <si>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</si>
  <si>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</si>
  <si>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</si>
  <si>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</si>
  <si>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</si>
  <si>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</si>
  <si>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</si>
  <si>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</si>
  <si>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</si>
  <si>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</si>
  <si>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</si>
  <si>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</si>
  <si>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</si>
  <si>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</si>
  <si>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</si>
  <si>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</si>
  <si>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</si>
  <si>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</si>
  <si>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</si>
  <si>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</si>
  <si>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</si>
  <si>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</si>
  <si>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</si>
  <si>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</si>
  <si>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</si>
  <si>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</si>
  <si>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</si>
  <si>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</si>
  <si>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</si>
  <si>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</si>
  <si>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</si>
  <si>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</si>
  <si>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</si>
  <si>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</si>
  <si>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</si>
  <si>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</si>
  <si>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</si>
  <si>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</si>
  <si>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</si>
  <si>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</si>
  <si>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</si>
  <si>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</si>
  <si>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</si>
  <si>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</si>
  <si>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</si>
  <si>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</si>
  <si>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</si>
  <si>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</si>
  <si>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</si>
  <si>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</si>
  <si>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</si>
  <si>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</si>
  <si>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</si>
  <si>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</si>
  <si>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</si>
  <si>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</si>
  <si>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</si>
  <si>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</si>
  <si>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</si>
  <si>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</si>
  <si>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</si>
  <si>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</si>
  <si>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</si>
  <si>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</si>
  <si>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</si>
  <si>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</si>
  <si>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</si>
  <si>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</si>
  <si>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</si>
  <si>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</si>
  <si>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</si>
  <si>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</si>
  <si>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</si>
  <si>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</si>
  <si>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</si>
  <si>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</si>
  <si>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</si>
  <si>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</si>
  <si>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</si>
  <si>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</si>
  <si>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</si>
  <si>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</si>
  <si>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</si>
  <si>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</si>
  <si>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</si>
  <si>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</si>
  <si>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</si>
  <si>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</si>
  <si>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</si>
  <si>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</si>
  <si>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</si>
  <si>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</si>
  <si>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</si>
  <si>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</si>
  <si>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</si>
  <si>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</si>
  <si>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</si>
  <si>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</si>
  <si>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</si>
  <si>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</si>
  <si>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</si>
  <si>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</si>
  <si>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</si>
  <si>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</si>
  <si>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</si>
  <si>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</si>
  <si>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</si>
  <si>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</si>
  <si>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</si>
  <si>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</si>
  <si>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</si>
  <si>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</si>
  <si>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</si>
  <si>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</si>
  <si>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</si>
  <si>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</si>
  <si>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</si>
  <si>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</si>
  <si>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</si>
  <si>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</si>
  <si>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</si>
  <si>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</si>
  <si>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</si>
  <si>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</si>
  <si>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</si>
  <si>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</si>
  <si>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</si>
  <si>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</si>
  <si>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</si>
  <si>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</si>
  <si>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</si>
  <si>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</si>
  <si>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</si>
  <si>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</si>
  <si>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</si>
  <si>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</si>
  <si>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</si>
  <si>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</si>
  <si>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</si>
  <si>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</si>
  <si>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</si>
  <si>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</si>
  <si>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</si>
  <si>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</si>
  <si>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</si>
  <si>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</si>
  <si>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</si>
  <si>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</si>
  <si>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</si>
  <si>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</si>
  <si>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</si>
  <si>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</si>
  <si>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</si>
  <si>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</si>
  <si>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</si>
  <si>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</si>
  <si>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</si>
  <si>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</si>
  <si>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</si>
  <si>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</si>
  <si>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</si>
  <si>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</si>
  <si>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</si>
  <si>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</si>
  <si>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</si>
  <si>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</si>
  <si>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</si>
  <si>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</si>
  <si>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</si>
  <si>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</si>
  <si>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</si>
  <si>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</si>
  <si>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</si>
  <si>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</si>
  <si>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</si>
  <si>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</si>
  <si>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</si>
  <si>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</si>
  <si>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</si>
  <si>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</si>
  <si>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</si>
  <si>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</si>
  <si>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</si>
  <si>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</si>
  <si>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</si>
  <si>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</si>
  <si>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</si>
  <si>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</si>
  <si>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</si>
  <si>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</si>
  <si>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</si>
  <si>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</si>
  <si>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</si>
  <si>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</si>
  <si>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</si>
  <si>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</si>
  <si>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</si>
  <si>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</si>
  <si>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</si>
  <si>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</si>
  <si>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</si>
  <si>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</si>
  <si>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</si>
  <si>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</si>
  <si>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</si>
  <si>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</si>
  <si>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</si>
  <si>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</si>
  <si>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</si>
  <si>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</si>
  <si>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</si>
  <si>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</si>
  <si>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</si>
  <si>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</si>
  <si>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</si>
  <si>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</si>
  <si>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</si>
  <si>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</si>
  <si>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</si>
  <si>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</si>
  <si>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</si>
  <si>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</si>
  <si>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</si>
  <si>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</si>
  <si>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</si>
  <si>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</si>
  <si>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</si>
  <si>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</si>
  <si>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</si>
  <si>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</si>
  <si>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</si>
  <si>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</si>
  <si>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</si>
  <si>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</si>
  <si>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</si>
  <si>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</si>
  <si>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</si>
  <si>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</si>
  <si>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</si>
  <si>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</si>
  <si>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</si>
  <si>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</si>
  <si>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</si>
  <si>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</si>
  <si>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</si>
  <si>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</si>
  <si>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</si>
  <si>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</si>
  <si>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</si>
  <si>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</si>
  <si>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</si>
  <si>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Aue  - Bad Schlema GmbH</t>
  </si>
  <si>
    <t>9870018300002</t>
  </si>
  <si>
    <t>Mühlstraße 4</t>
  </si>
  <si>
    <t>Aue</t>
  </si>
  <si>
    <t>Christian Rabe</t>
  </si>
  <si>
    <t>christian.rabe@zev-energie.de</t>
  </si>
  <si>
    <t>0375 3541 426</t>
  </si>
  <si>
    <t>THE0NKH700183000</t>
  </si>
  <si>
    <t>DE_GMK04</t>
  </si>
  <si>
    <t>DE_GKO04</t>
  </si>
  <si>
    <t>KO4</t>
  </si>
  <si>
    <t>DE_GHA04</t>
  </si>
  <si>
    <t>DE_GBD04</t>
  </si>
  <si>
    <t>BD4</t>
  </si>
  <si>
    <t>DE_GGA04</t>
  </si>
  <si>
    <t>GA4</t>
  </si>
  <si>
    <t>DE_GBH04</t>
  </si>
  <si>
    <t>BH4</t>
  </si>
  <si>
    <t>DE_GWA04</t>
  </si>
  <si>
    <t>WA4</t>
  </si>
  <si>
    <t>DE_GGB04</t>
  </si>
  <si>
    <t>GB4</t>
  </si>
  <si>
    <t>DE_GBA04</t>
  </si>
  <si>
    <t>BA4</t>
  </si>
  <si>
    <t>DE_GPD04</t>
  </si>
  <si>
    <t>PD4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</si>
</sst>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9">
    <dxf>
      <font>
        <color theme="0"/>
      </font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8.71093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7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8280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Aue</v>
      </c>
      <c r="E28" s="38"/>
      <c r="F28" s="11"/>
      <c r="G28" s="2"/>
    </row>
    <row r="29" spans="1:15">
      <c r="B29" s="15"/>
      <c r="C29" s="22" t="s">
        <v>393</v>
      </c>
      <c r="D29" s="45" t="s">
        <v>659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Aue  - Bad Schlema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Aue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9870018300002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652</v>
      </c>
      <c r="D13" s="42" t="s">
        <v>663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135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76" t="s">
        <v>574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576</v>
      </c>
      <c r="D28" s="42" t="s">
        <v>134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13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659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33" sqref="E33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Aue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368" t="s">
        <v>657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44470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 t="str">
        <f>INDEX('SLP-Verfahren'!D45:D59,'SLP-Temp-Gebiet #01'!F10)</f>
        <v>Aue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/>
      <c r="G14" s="268"/>
      <c r="H14" s="51"/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/>
      <c r="G15" s="268"/>
      <c r="H15" s="51"/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502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157" t="s">
        <v>659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193938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654</v>
      </c>
      <c r="T26" s="210" t="s">
        <v>655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255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142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537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tr">
        <f>E24</f>
        <v>Aue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193938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f>F29</f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525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604</v>
      </c>
      <c r="D70" s="154" t="s">
        <v>605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537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579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4 F25:N25">
    <cfRule type="expression" dxfId="48" priority="30">
      <formula>IF(E$20&lt;=$F$18,1,0)</formula>
    </cfRule>
  </conditionalFormatting>
  <conditionalFormatting sqref="E33:N37">
    <cfRule type="expression" dxfId="47" priority="29">
      <formula>IF(E$31&lt;=$F$29,1,0)</formula>
    </cfRule>
  </conditionalFormatting>
  <conditionalFormatting sqref="E26:N26">
    <cfRule type="expression" dxfId="46" priority="28">
      <formula>IF(E$20&lt;=$F$18,1,0)</formula>
    </cfRule>
  </conditionalFormatting>
  <conditionalFormatting sqref="E26:N26">
    <cfRule type="expression" dxfId="45" priority="27">
      <formula>IF(E$20&lt;=$F$18,1,0)</formula>
    </cfRule>
  </conditionalFormatting>
  <conditionalFormatting sqref="E57:N60">
    <cfRule type="expression" dxfId="44" priority="24">
      <formula>IF(E$55&lt;=$F$53,1,0)</formula>
    </cfRule>
  </conditionalFormatting>
  <conditionalFormatting sqref="E61:N61">
    <cfRule type="expression" dxfId="43" priority="23">
      <formula>IF(E$55&lt;=$F$53,1,0)</formula>
    </cfRule>
  </conditionalFormatting>
  <conditionalFormatting sqref="E67:N69">
    <cfRule type="expression" dxfId="42" priority="17">
      <formula>IF(E$65&lt;=$F$63,1,0)</formula>
    </cfRule>
  </conditionalFormatting>
  <conditionalFormatting sqref="E66:N69 E71:N71">
    <cfRule type="expression" dxfId="41" priority="15">
      <formula>IF(E$65&gt;$F$63,1,0)</formula>
    </cfRule>
  </conditionalFormatting>
  <conditionalFormatting sqref="E57:N61">
    <cfRule type="expression" dxfId="40" priority="14">
      <formula>IF(E$55&gt;$F$53,1,0)</formula>
    </cfRule>
  </conditionalFormatting>
  <conditionalFormatting sqref="E21:N24 E26:N26 F25:N25">
    <cfRule type="expression" dxfId="39" priority="13">
      <formula>IF(E$20&gt;$F$18,1,0)</formula>
    </cfRule>
  </conditionalFormatting>
  <conditionalFormatting sqref="E33:N37">
    <cfRule type="expression" dxfId="38" priority="12">
      <formula>IF(E$31&gt;$F$29,1,0)</formula>
    </cfRule>
  </conditionalFormatting>
  <conditionalFormatting sqref="H11 H8:H9">
    <cfRule type="expression" dxfId="37" priority="11">
      <formula>IF($F$9=1,1,0)</formula>
    </cfRule>
  </conditionalFormatting>
  <conditionalFormatting sqref="E56:N56">
    <cfRule type="expression" dxfId="36" priority="10">
      <formula>IF(E$55&gt;$F$53,1,0)</formula>
    </cfRule>
  </conditionalFormatting>
  <conditionalFormatting sqref="E32:N32">
    <cfRule type="expression" dxfId="35" priority="9">
      <formula>IF(E$31&gt;$F$29,1,0)</formula>
    </cfRule>
  </conditionalFormatting>
  <conditionalFormatting sqref="E71:N71">
    <cfRule type="expression" dxfId="34" priority="8">
      <formula>IF(E$65&lt;=$F$63,1,0)</formula>
    </cfRule>
  </conditionalFormatting>
  <conditionalFormatting sqref="H10">
    <cfRule type="expression" dxfId="33" priority="7">
      <formula>IF($F$9=1,1,0)</formula>
    </cfRule>
  </conditionalFormatting>
  <conditionalFormatting sqref="E70:N70">
    <cfRule type="expression" dxfId="32" priority="4">
      <formula>IF(E$65&lt;=$F$63,1,0)</formula>
    </cfRule>
  </conditionalFormatting>
  <conditionalFormatting sqref="E70:N70">
    <cfRule type="expression" dxfId="31" priority="3">
      <formula>IF(E$65&gt;$F$63,1,0)</formula>
    </cfRule>
  </conditionalFormatting>
  <conditionalFormatting sqref="E25">
    <cfRule type="expression" dxfId="1" priority="2">
      <formula>IF(E$20&lt;=$F$18,1,0)</formula>
    </cfRule>
  </conditionalFormatting>
  <conditionalFormatting sqref="E25">
    <cfRule type="expression" dxfId="0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Aue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142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537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525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537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579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21" sqref="F2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Aue  - Bad Schlema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Aue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9870018300002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COUNTA(D12:D100)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680</v>
      </c>
      <c r="F11" s="307" t="str">
        <f>VLOOKUP($E11,'BDEW-Standard'!$B$3:$M$158,F$9,0)</f>
        <v>PD4</v>
      </c>
      <c r="H11" s="168">
        <f>ROUND(VLOOKUP($E11,'BDEW-Standard'!$B$3:$M$158,H$9,0),7)</f>
        <v>3.85</v>
      </c>
      <c r="I11" s="168">
        <f>ROUND(VLOOKUP($E11,'BDEW-Standard'!$B$3:$M$158,I$9,0),7)</f>
        <v>-37</v>
      </c>
      <c r="J11" s="168">
        <f>ROUND(VLOOKUP($E11,'BDEW-Standard'!$B$3:$M$158,J$9,0),7)</f>
        <v>10.2405021</v>
      </c>
      <c r="K11" s="168">
        <f>ROUND(VLOOKUP($E11,'BDEW-Standard'!$B$3:$M$158,K$9,0),7)</f>
        <v>4.6924300000000002E-2</v>
      </c>
      <c r="L11" s="215">
        <f>ROUND(VLOOKUP($E11,'BDEW-Standard'!$B$3:$M$158,L$9,0),1)</f>
        <v>40</v>
      </c>
      <c r="M11" s="168">
        <f>ROUND(VLOOKUP($E11,'BDEW-Standard'!$B$3:$M$158,M$9,0),7)</f>
        <v>0</v>
      </c>
      <c r="N11" s="168">
        <f>ROUND(VLOOKUP($E11,'BDEW-Standard'!$B$3:$M$158,N$9,0),7)</f>
        <v>0</v>
      </c>
      <c r="O11" s="168">
        <f>ROUND(VLOOKUP($E11,'BDEW-Standard'!$B$3:$M$158,O$9,0),7)</f>
        <v>0</v>
      </c>
      <c r="P11" s="168">
        <f>ROUND(VLOOKUP($E11,'BDEW-Standard'!$B$3:$M$158,P$9,0),7)</f>
        <v>0</v>
      </c>
      <c r="Q11" s="214">
        <f>($H11/(1+($I11/($Q$9-$L11))^$J11)+$K11)+MAX($M11*$Q$9+$N11,$O11*$Q$9+$P11)</f>
        <v>0.75691065279879233</v>
      </c>
      <c r="R11" s="169">
        <f>ROUND(VLOOKUP(MID($E11,4,3),'Wochentag F(WT)'!$B$7:$J$22,R$9,0),4)</f>
        <v>1.0214000000000001</v>
      </c>
      <c r="S11" s="169">
        <f>ROUND(VLOOKUP(MID($E11,4,3),'Wochentag F(WT)'!$B$7:$J$22,S$9,0),4)</f>
        <v>1.0866</v>
      </c>
      <c r="T11" s="169">
        <f>ROUND(VLOOKUP(MID($E11,4,3),'Wochentag F(WT)'!$B$7:$J$22,T$9,0),4)</f>
        <v>1.0720000000000001</v>
      </c>
      <c r="U11" s="169">
        <f>ROUND(VLOOKUP(MID($E11,4,3),'Wochentag F(WT)'!$B$7:$J$22,U$9,0),4)</f>
        <v>1.0557000000000001</v>
      </c>
      <c r="V11" s="169">
        <f>ROUND(VLOOKUP(MID($E11,4,3),'Wochentag F(WT)'!$B$7:$J$22,V$9,0),4)</f>
        <v>1.0117</v>
      </c>
      <c r="W11" s="169">
        <f>ROUND(VLOOKUP(MID($E11,4,3),'Wochentag F(WT)'!$B$7:$J$22,W$9,0),4)</f>
        <v>0.90010000000000001</v>
      </c>
      <c r="X11" s="170">
        <f>7-SUM(R11:W11)</f>
        <v>0.85249999999999915</v>
      </c>
      <c r="Y11" s="303">
        <v>365.12299999999999</v>
      </c>
    </row>
    <row r="12" spans="2:26">
      <c r="B12" s="142">
        <v>1</v>
      </c>
      <c r="C12" s="143" t="str">
        <f t="shared" ref="C12:C41" si="0">$D$6</f>
        <v>Aue</v>
      </c>
      <c r="D12" s="63" t="s">
        <v>248</v>
      </c>
      <c r="E12" s="166" t="s">
        <v>41</v>
      </c>
      <c r="F12" s="308" t="s">
        <v>305</v>
      </c>
      <c r="H12" s="279">
        <v>3.1764404000000002</v>
      </c>
      <c r="I12" s="279">
        <v>-37.410583199999998</v>
      </c>
      <c r="J12" s="279">
        <v>6.1622336000000004</v>
      </c>
      <c r="K12" s="279">
        <v>8.9360599999999998E-2</v>
      </c>
      <c r="L12" s="280">
        <v>40</v>
      </c>
      <c r="M12" s="279">
        <v>0</v>
      </c>
      <c r="N12" s="279">
        <v>0</v>
      </c>
      <c r="O12" s="279">
        <v>0</v>
      </c>
      <c r="P12" s="279">
        <v>0</v>
      </c>
      <c r="Q12" s="281">
        <v>0.96716323288062622</v>
      </c>
      <c r="R12" s="282">
        <v>1</v>
      </c>
      <c r="S12" s="282">
        <v>1</v>
      </c>
      <c r="T12" s="282">
        <v>1</v>
      </c>
      <c r="U12" s="282">
        <v>1</v>
      </c>
      <c r="V12" s="282">
        <v>1</v>
      </c>
      <c r="W12" s="282">
        <v>1</v>
      </c>
      <c r="X12" s="283"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Aue</v>
      </c>
      <c r="D13" s="63" t="s">
        <v>248</v>
      </c>
      <c r="E13" s="166" t="s">
        <v>49</v>
      </c>
      <c r="F13" s="308" t="s">
        <v>313</v>
      </c>
      <c r="H13" s="279">
        <v>2.5078170000000002</v>
      </c>
      <c r="I13" s="279">
        <v>-35.036736300000001</v>
      </c>
      <c r="J13" s="279">
        <v>6.2430158999999996</v>
      </c>
      <c r="K13" s="279">
        <v>0.120641</v>
      </c>
      <c r="L13" s="280">
        <v>40</v>
      </c>
      <c r="M13" s="279">
        <v>0</v>
      </c>
      <c r="N13" s="279">
        <v>0</v>
      </c>
      <c r="O13" s="279">
        <v>0</v>
      </c>
      <c r="P13" s="279">
        <v>0</v>
      </c>
      <c r="Q13" s="281">
        <v>1.0288731326442526</v>
      </c>
      <c r="R13" s="282">
        <v>1</v>
      </c>
      <c r="S13" s="282">
        <v>1</v>
      </c>
      <c r="T13" s="282">
        <v>1</v>
      </c>
      <c r="U13" s="282">
        <v>1</v>
      </c>
      <c r="V13" s="282">
        <v>1</v>
      </c>
      <c r="W13" s="282">
        <v>1</v>
      </c>
      <c r="X13" s="283"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Aue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ref="Q12:Q26" si="1">($H14/(1+($I14/($Q$9-$L14))^$J14)+$K14)+MAX($M14*$Q$9+$N14,$O14*$Q$9+$P14)</f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ref="X13:X26" si="2">7-SUM(R14:W14)</f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Aue</v>
      </c>
      <c r="D15" s="63" t="s">
        <v>248</v>
      </c>
      <c r="E15" s="166" t="s">
        <v>664</v>
      </c>
      <c r="F15" s="308" t="str">
        <f>VLOOKUP($E15,'BDEW-Standard'!$B$3:$M$94,F$9,0)</f>
        <v>MK4</v>
      </c>
      <c r="H15" s="279">
        <f>ROUND(VLOOKUP($E15,'BDEW-Standard'!$B$3:$M$94,H$9,0),7)</f>
        <v>3.1177248</v>
      </c>
      <c r="I15" s="279">
        <f>ROUND(VLOOKUP($E15,'BDEW-Standard'!$B$3:$M$94,I$9,0),7)</f>
        <v>-35.871506199999999</v>
      </c>
      <c r="J15" s="279">
        <f>ROUND(VLOOKUP($E15,'BDEW-Standard'!$B$3:$M$94,J$9,0),7)</f>
        <v>7.5186828999999999</v>
      </c>
      <c r="K15" s="279">
        <f>ROUND(VLOOKUP($E15,'BDEW-Standard'!$B$3:$M$94,K$9,0),7)</f>
        <v>3.4330100000000002E-2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0.9622064996731321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Aue</v>
      </c>
      <c r="D16" s="63" t="s">
        <v>248</v>
      </c>
      <c r="E16" s="166" t="s">
        <v>665</v>
      </c>
      <c r="F16" s="308" t="s">
        <v>666</v>
      </c>
      <c r="H16" s="279">
        <v>3.4428942999999999</v>
      </c>
      <c r="I16" s="279">
        <v>-36.659050399999998</v>
      </c>
      <c r="J16" s="279">
        <v>7.6083226000000002</v>
      </c>
      <c r="K16" s="279">
        <v>7.4685000000000001E-2</v>
      </c>
      <c r="L16" s="280">
        <v>40</v>
      </c>
      <c r="M16" s="279">
        <v>0</v>
      </c>
      <c r="N16" s="279">
        <v>0</v>
      </c>
      <c r="O16" s="279">
        <v>0</v>
      </c>
      <c r="P16" s="279">
        <v>0</v>
      </c>
      <c r="Q16" s="281">
        <v>0.97768382110526542</v>
      </c>
      <c r="R16" s="282">
        <v>1.0354000000000001</v>
      </c>
      <c r="S16" s="282">
        <v>1.0523</v>
      </c>
      <c r="T16" s="282">
        <v>1.0448999999999999</v>
      </c>
      <c r="U16" s="282">
        <v>1.0494000000000001</v>
      </c>
      <c r="V16" s="282">
        <v>0.98850000000000005</v>
      </c>
      <c r="W16" s="282">
        <v>0.88600000000000001</v>
      </c>
      <c r="X16" s="283">
        <v>0.94349999999999934</v>
      </c>
      <c r="Y16" s="304"/>
      <c r="Z16" s="213"/>
    </row>
    <row r="17" spans="2:26" s="144" customFormat="1">
      <c r="B17" s="145">
        <v>6</v>
      </c>
      <c r="C17" s="146" t="str">
        <f t="shared" si="0"/>
        <v>Aue</v>
      </c>
      <c r="D17" s="63" t="s">
        <v>248</v>
      </c>
      <c r="E17" s="166" t="s">
        <v>667</v>
      </c>
      <c r="F17" s="308" t="str">
        <f>VLOOKUP($E17,'BDEW-Standard'!$B$3:$M$94,F$9,0)</f>
        <v>HA4</v>
      </c>
      <c r="H17" s="279">
        <f>ROUND(VLOOKUP($E17,'BDEW-Standard'!$B$3:$M$94,H$9,0),7)</f>
        <v>4.0196902000000003</v>
      </c>
      <c r="I17" s="279">
        <f>ROUND(VLOOKUP($E17,'BDEW-Standard'!$B$3:$M$94,I$9,0),7)</f>
        <v>-37.828203700000003</v>
      </c>
      <c r="J17" s="279">
        <f>ROUND(VLOOKUP($E17,'BDEW-Standard'!$B$3:$M$94,J$9,0),7)</f>
        <v>8.1593368999999996</v>
      </c>
      <c r="K17" s="279">
        <f>ROUND(VLOOKUP($E17,'BDEW-Standard'!$B$3:$M$94,K$9,0),7)</f>
        <v>4.72845E-2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0.86486713303260787</v>
      </c>
      <c r="R17" s="282">
        <f>ROUND(VLOOKUP(MID($E17,4,3),'Wochentag F(WT)'!$B$7:$J$22,R$9,0),4)</f>
        <v>1.0358000000000001</v>
      </c>
      <c r="S17" s="282">
        <f>ROUND(VLOOKUP(MID($E17,4,3),'Wochentag F(WT)'!$B$7:$J$22,S$9,0),4)</f>
        <v>1.0232000000000001</v>
      </c>
      <c r="T17" s="282">
        <f>ROUND(VLOOKUP(MID($E17,4,3),'Wochentag F(WT)'!$B$7:$J$22,T$9,0),4)</f>
        <v>1.0251999999999999</v>
      </c>
      <c r="U17" s="282">
        <f>ROUND(VLOOKUP(MID($E17,4,3),'Wochentag F(WT)'!$B$7:$J$22,U$9,0),4)</f>
        <v>1.0295000000000001</v>
      </c>
      <c r="V17" s="282">
        <f>ROUND(VLOOKUP(MID($E17,4,3),'Wochentag F(WT)'!$B$7:$J$22,V$9,0),4)</f>
        <v>1.0253000000000001</v>
      </c>
      <c r="W17" s="282">
        <f>ROUND(VLOOKUP(MID($E17,4,3),'Wochentag F(WT)'!$B$7:$J$22,W$9,0),4)</f>
        <v>0.96750000000000003</v>
      </c>
      <c r="X17" s="283">
        <f t="shared" si="2"/>
        <v>0.89350000000000041</v>
      </c>
      <c r="Y17" s="304"/>
      <c r="Z17" s="213"/>
    </row>
    <row r="18" spans="2:26" s="144" customFormat="1">
      <c r="B18" s="145">
        <v>7</v>
      </c>
      <c r="C18" s="146" t="str">
        <f t="shared" si="0"/>
        <v>Aue</v>
      </c>
      <c r="D18" s="63" t="s">
        <v>248</v>
      </c>
      <c r="E18" s="166" t="s">
        <v>668</v>
      </c>
      <c r="F18" s="308" t="s">
        <v>669</v>
      </c>
      <c r="H18" s="279">
        <v>3.75</v>
      </c>
      <c r="I18" s="279">
        <v>-37.5</v>
      </c>
      <c r="J18" s="279">
        <v>6.8</v>
      </c>
      <c r="K18" s="279">
        <v>6.0911300000000002E-2</v>
      </c>
      <c r="L18" s="280">
        <v>40</v>
      </c>
      <c r="M18" s="279">
        <v>0</v>
      </c>
      <c r="N18" s="279">
        <v>0</v>
      </c>
      <c r="O18" s="279">
        <v>0</v>
      </c>
      <c r="P18" s="279">
        <v>0</v>
      </c>
      <c r="Q18" s="281">
        <v>1.0126136468627658</v>
      </c>
      <c r="R18" s="282">
        <v>1.1052</v>
      </c>
      <c r="S18" s="282">
        <v>1.0857000000000001</v>
      </c>
      <c r="T18" s="282">
        <v>1.0378000000000001</v>
      </c>
      <c r="U18" s="282">
        <v>1.0622</v>
      </c>
      <c r="V18" s="282">
        <v>1.0266</v>
      </c>
      <c r="W18" s="282">
        <v>0.76290000000000002</v>
      </c>
      <c r="X18" s="283"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Aue</v>
      </c>
      <c r="D19" s="63" t="s">
        <v>248</v>
      </c>
      <c r="E19" s="166" t="s">
        <v>670</v>
      </c>
      <c r="F19" s="308" t="s">
        <v>671</v>
      </c>
      <c r="H19" s="279">
        <v>2.8195655999999998</v>
      </c>
      <c r="I19" s="279">
        <v>-36</v>
      </c>
      <c r="J19" s="279">
        <v>7.7368518000000002</v>
      </c>
      <c r="K19" s="279">
        <v>0.157281</v>
      </c>
      <c r="L19" s="280">
        <v>40</v>
      </c>
      <c r="M19" s="279">
        <v>0</v>
      </c>
      <c r="N19" s="279">
        <v>0</v>
      </c>
      <c r="O19" s="279">
        <v>0</v>
      </c>
      <c r="P19" s="279">
        <v>0</v>
      </c>
      <c r="Q19" s="281">
        <v>0.96576337685759206</v>
      </c>
      <c r="R19" s="282">
        <v>0.93220000000000003</v>
      </c>
      <c r="S19" s="282">
        <v>0.98939999999999995</v>
      </c>
      <c r="T19" s="282">
        <v>1.0033000000000001</v>
      </c>
      <c r="U19" s="282">
        <v>1.0108999999999999</v>
      </c>
      <c r="V19" s="282">
        <v>1.018</v>
      </c>
      <c r="W19" s="282">
        <v>1.0356000000000001</v>
      </c>
      <c r="X19" s="283"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Aue</v>
      </c>
      <c r="D20" s="63" t="s">
        <v>248</v>
      </c>
      <c r="E20" s="166" t="s">
        <v>672</v>
      </c>
      <c r="F20" s="308" t="s">
        <v>673</v>
      </c>
      <c r="H20" s="279">
        <v>2.4595180999999999</v>
      </c>
      <c r="I20" s="279">
        <v>-35.253212400000002</v>
      </c>
      <c r="J20" s="279">
        <v>6.0587001000000003</v>
      </c>
      <c r="K20" s="279">
        <v>0.16473699999999999</v>
      </c>
      <c r="L20" s="280">
        <v>40</v>
      </c>
      <c r="M20" s="279">
        <v>0</v>
      </c>
      <c r="N20" s="279">
        <v>0</v>
      </c>
      <c r="O20" s="279">
        <v>0</v>
      </c>
      <c r="P20" s="279">
        <v>0</v>
      </c>
      <c r="Q20" s="281">
        <v>1.043802057143173</v>
      </c>
      <c r="R20" s="282">
        <v>0.97670000000000001</v>
      </c>
      <c r="S20" s="282">
        <v>1.0388999999999999</v>
      </c>
      <c r="T20" s="282">
        <v>1.0027999999999999</v>
      </c>
      <c r="U20" s="282">
        <v>1.0162</v>
      </c>
      <c r="V20" s="282">
        <v>1.0024</v>
      </c>
      <c r="W20" s="282">
        <v>1.0043</v>
      </c>
      <c r="X20" s="283"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Aue</v>
      </c>
      <c r="D21" s="63" t="s">
        <v>248</v>
      </c>
      <c r="E21" s="166" t="s">
        <v>674</v>
      </c>
      <c r="F21" s="308" t="s">
        <v>675</v>
      </c>
      <c r="H21" s="279">
        <v>1.0535874999999999</v>
      </c>
      <c r="I21" s="279">
        <v>-35.299999999999997</v>
      </c>
      <c r="J21" s="279">
        <v>4.8662747</v>
      </c>
      <c r="K21" s="279">
        <v>0.68110420000000005</v>
      </c>
      <c r="L21" s="280">
        <v>40</v>
      </c>
      <c r="M21" s="279">
        <v>0</v>
      </c>
      <c r="N21" s="279">
        <v>0</v>
      </c>
      <c r="O21" s="279">
        <v>0</v>
      </c>
      <c r="P21" s="279">
        <v>0</v>
      </c>
      <c r="Q21" s="281">
        <v>1.0844348950990992</v>
      </c>
      <c r="R21" s="282">
        <v>1.2457</v>
      </c>
      <c r="S21" s="282">
        <v>1.2615000000000001</v>
      </c>
      <c r="T21" s="282">
        <v>1.2706999999999999</v>
      </c>
      <c r="U21" s="282">
        <v>1.2430000000000001</v>
      </c>
      <c r="V21" s="282">
        <v>1.1275999999999999</v>
      </c>
      <c r="W21" s="282">
        <v>0.38769999999999999</v>
      </c>
      <c r="X21" s="283"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Aue</v>
      </c>
      <c r="D22" s="63" t="s">
        <v>248</v>
      </c>
      <c r="E22" s="166" t="s">
        <v>676</v>
      </c>
      <c r="F22" s="308" t="s">
        <v>677</v>
      </c>
      <c r="H22" s="279">
        <v>3.6017736</v>
      </c>
      <c r="I22" s="279">
        <v>-37.882536799999997</v>
      </c>
      <c r="J22" s="279">
        <v>6.9836070000000001</v>
      </c>
      <c r="K22" s="279">
        <v>5.4826199999999999E-2</v>
      </c>
      <c r="L22" s="280">
        <v>40</v>
      </c>
      <c r="M22" s="279">
        <v>0</v>
      </c>
      <c r="N22" s="279">
        <v>0</v>
      </c>
      <c r="O22" s="279">
        <v>0</v>
      </c>
      <c r="P22" s="279">
        <v>0</v>
      </c>
      <c r="Q22" s="281">
        <v>0.90239375975311864</v>
      </c>
      <c r="R22" s="282">
        <v>0.98970000000000002</v>
      </c>
      <c r="S22" s="282">
        <v>0.9627</v>
      </c>
      <c r="T22" s="282">
        <v>1.0507</v>
      </c>
      <c r="U22" s="282">
        <v>1.0551999999999999</v>
      </c>
      <c r="V22" s="282">
        <v>1.0297000000000001</v>
      </c>
      <c r="W22" s="282">
        <v>0.97670000000000001</v>
      </c>
      <c r="X22" s="283">
        <v>0.9352999999999998</v>
      </c>
      <c r="Y22" s="304"/>
      <c r="Z22" s="213"/>
    </row>
    <row r="23" spans="2:26" s="144" customFormat="1">
      <c r="B23" s="145">
        <v>12</v>
      </c>
      <c r="C23" s="146" t="str">
        <f t="shared" si="0"/>
        <v>Aue</v>
      </c>
      <c r="D23" s="63" t="s">
        <v>248</v>
      </c>
      <c r="E23" s="166" t="s">
        <v>678</v>
      </c>
      <c r="F23" s="308" t="s">
        <v>679</v>
      </c>
      <c r="H23" s="279">
        <v>0.93158890000000005</v>
      </c>
      <c r="I23" s="279">
        <v>-33.35</v>
      </c>
      <c r="J23" s="279">
        <v>5.7212303000000002</v>
      </c>
      <c r="K23" s="279">
        <v>0.66564939999999995</v>
      </c>
      <c r="L23" s="280">
        <v>40</v>
      </c>
      <c r="M23" s="279">
        <v>0</v>
      </c>
      <c r="N23" s="279">
        <v>0</v>
      </c>
      <c r="O23" s="279">
        <v>0</v>
      </c>
      <c r="P23" s="279">
        <v>0</v>
      </c>
      <c r="Q23" s="281">
        <v>1.0766391850538448</v>
      </c>
      <c r="R23" s="282">
        <v>1.0848</v>
      </c>
      <c r="S23" s="282">
        <v>1.1211</v>
      </c>
      <c r="T23" s="282">
        <v>1.0769</v>
      </c>
      <c r="U23" s="282">
        <v>1.1353</v>
      </c>
      <c r="V23" s="282">
        <v>1.1402000000000001</v>
      </c>
      <c r="W23" s="282">
        <v>0.48520000000000002</v>
      </c>
      <c r="X23" s="283">
        <v>0.95650000000000013</v>
      </c>
      <c r="Y23" s="304"/>
      <c r="Z23" s="213"/>
    </row>
    <row r="24" spans="2:26" s="144" customFormat="1">
      <c r="B24" s="145">
        <v>13</v>
      </c>
      <c r="C24" s="146" t="str">
        <f t="shared" si="0"/>
        <v>Aue</v>
      </c>
      <c r="D24" s="63" t="s">
        <v>248</v>
      </c>
      <c r="E24" s="166" t="s">
        <v>680</v>
      </c>
      <c r="F24" s="308" t="s">
        <v>681</v>
      </c>
      <c r="H24" s="279">
        <v>3.85</v>
      </c>
      <c r="I24" s="279">
        <v>-37</v>
      </c>
      <c r="J24" s="279">
        <v>10.2405021</v>
      </c>
      <c r="K24" s="279">
        <v>4.6924300000000002E-2</v>
      </c>
      <c r="L24" s="280">
        <v>40</v>
      </c>
      <c r="M24" s="279">
        <v>0</v>
      </c>
      <c r="N24" s="279">
        <v>0</v>
      </c>
      <c r="O24" s="279">
        <v>0</v>
      </c>
      <c r="P24" s="279">
        <v>0</v>
      </c>
      <c r="Q24" s="281">
        <v>0.75691065279879233</v>
      </c>
      <c r="R24" s="282">
        <v>1.0214000000000001</v>
      </c>
      <c r="S24" s="282">
        <v>1.0866</v>
      </c>
      <c r="T24" s="282">
        <v>1.0720000000000001</v>
      </c>
      <c r="U24" s="282">
        <v>1.0557000000000001</v>
      </c>
      <c r="V24" s="282">
        <v>1.0117</v>
      </c>
      <c r="W24" s="282">
        <v>0.90010000000000001</v>
      </c>
      <c r="X24" s="283"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Aue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Aue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Aue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Aue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Aue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Aue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Aue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Aue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Aue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Aue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Aue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Aue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Aue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Aue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Aue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Aue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Aue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2" priority="9">
      <formula>ISERROR(F11)</formula>
    </cfRule>
  </conditionalFormatting>
  <conditionalFormatting sqref="E12:F41 Y12:Y41">
    <cfRule type="duplicateValues" dxfId="11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544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topLeftCell="A4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Aue  - Bad Schlema GmbH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Aue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9870018300002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582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7" priority="9">
      <formula>IF(E$11="NB",1,0)</formula>
    </cfRule>
  </conditionalFormatting>
  <conditionalFormatting sqref="F12:L35">
    <cfRule type="expression" dxfId="6" priority="6">
      <formula>IF($E12=1,1,0)</formula>
    </cfRule>
  </conditionalFormatting>
  <conditionalFormatting sqref="M12:AD35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544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Grzeszczuk, Jana</cp:lastModifiedBy>
  <cp:lastPrinted>2015-03-20T22:59:10Z</cp:lastPrinted>
  <dcterms:created xsi:type="dcterms:W3CDTF">2015-01-15T05:25:41Z</dcterms:created>
  <dcterms:modified xsi:type="dcterms:W3CDTF">2021-10-27T09:39:14Z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